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>
    <definedName name="_xlnm.Print_Area" localSheetId="1">'січень'!$A$1:$R$87</definedName>
  </definedNames>
  <calcPr fullCalcOnLoad="1"/>
</workbook>
</file>

<file path=xl/sharedStrings.xml><?xml version="1.0" encoding="utf-8"?>
<sst xmlns="http://schemas.openxmlformats.org/spreadsheetml/2006/main" count="248" uniqueCount="131">
  <si>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</si>
  <si>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</si>
  <si>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</si>
  <si>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</si>
  <si>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</si>
  <si>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</si>
  <si>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</si>
  <si>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</si>
  <si>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</si>
  <si>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</si>
  <si>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</si>
  <si>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</si>
  <si>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</si>
  <si>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</si>
  <si>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</si>
  <si>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</si>
  <si>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</si>
  <si>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</si>
  <si>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</si>
  <si>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</si>
  <si>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</si>
  <si>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</si>
  <si>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</si>
  <si>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</si>
  <si>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</si>
  <si>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</si>
  <si>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</si>
  <si>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</si>
  <si>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</si>
  <si>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</si>
  <si>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</si>
  <si>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</si>
  <si>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</si>
  <si>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</si>
  <si>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</si>
  <si>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</si>
  <si>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</si>
  <si>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</si>
  <si>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</si>
  <si>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</si>
  <si>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</si>
  <si>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</si>
  <si>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</si>
  <si>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</si>
  <si>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</si>
  <si>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</si>
  <si>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</si>
  <si>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</si>
  <si>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</si>
  <si>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</si>
  <si>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</si>
  <si>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</si>
  <si>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</si>
  <si>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</si>
  <si>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</si>
  <si>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</si>
  <si>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</si>
  <si>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</si>
  <si>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</si>
  <si>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</si>
  <si>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</si>
  <si>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</si>
  <si>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</si>
  <si>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</si>
  <si>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</si>
  <si>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</si>
  <si>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</si>
  <si>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</si>
  <si>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</si>
  <si>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</si>
  <si>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</si>
  <si>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</si>
  <si>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</si>
  <si>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</si>
  <si>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</si>
  <si>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</si>
  <si>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</si>
  <si>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</si>
  <si>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</si>
  <si>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</si>
  <si>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</si>
  <si>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</si>
  <si>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</si>
  <si>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</si>
  <si>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</si>
  <si>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</si>
  <si>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</si>
  <si>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</si>
  <si>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</si>
  <si>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</si>
  <si>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</si>
  <si>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</si>
  <si>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</si>
  <si>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</si>
  <si>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</si>
  <si>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</si>
  <si>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</si>
  <si>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</si>
  <si>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</si>
  <si>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</si>
  <si>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</si>
  <si>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</si>
  <si>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</si>
  <si>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</si>
  <si>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</si>
  <si>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</si>
  <si>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</si>
  <si>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</si>
  <si>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</si>
  <si>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</si>
  <si>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</si>
  <si>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</si>
  <si>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</si>
  <si>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</si>
  <si>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</si>
  <si>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</si>
  <si>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</si>
  <si>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Тимчасовий план  на січень-лютий</t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</si>
  <si>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</si>
  <si>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</si>
  <si>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</si>
  <si>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</si>
  <si>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</si>
  <si>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</si>
  <si>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</si>
  <si>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</si>
  <si>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r>
      <t>Тимчасовийий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</si>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</sst>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1" t="s">
        <v>129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92"/>
      <c r="R1" s="93"/>
    </row>
    <row r="2" spans="2:18" s="1" customFormat="1" ht="15.75" customHeight="1">
      <c r="B2" s="192"/>
      <c r="C2" s="192"/>
      <c r="D2" s="19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3"/>
      <c r="B3" s="195"/>
      <c r="C3" s="196" t="s">
        <v>0</v>
      </c>
      <c r="D3" s="197" t="s">
        <v>123</v>
      </c>
      <c r="E3" s="34"/>
      <c r="F3" s="198" t="s">
        <v>26</v>
      </c>
      <c r="G3" s="199"/>
      <c r="H3" s="199"/>
      <c r="I3" s="199"/>
      <c r="J3" s="200"/>
      <c r="K3" s="89"/>
      <c r="L3" s="89"/>
      <c r="M3" s="201" t="s">
        <v>126</v>
      </c>
      <c r="N3" s="202" t="s">
        <v>121</v>
      </c>
      <c r="O3" s="202"/>
      <c r="P3" s="202"/>
      <c r="Q3" s="202"/>
      <c r="R3" s="202"/>
    </row>
    <row r="4" spans="1:18" ht="22.5" customHeight="1">
      <c r="A4" s="193"/>
      <c r="B4" s="195"/>
      <c r="C4" s="196"/>
      <c r="D4" s="197"/>
      <c r="E4" s="203" t="s">
        <v>117</v>
      </c>
      <c r="F4" s="185" t="s">
        <v>34</v>
      </c>
      <c r="G4" s="179" t="s">
        <v>118</v>
      </c>
      <c r="H4" s="187" t="s">
        <v>119</v>
      </c>
      <c r="I4" s="179" t="s">
        <v>124</v>
      </c>
      <c r="J4" s="187" t="s">
        <v>125</v>
      </c>
      <c r="K4" s="91" t="s">
        <v>65</v>
      </c>
      <c r="L4" s="96" t="s">
        <v>64</v>
      </c>
      <c r="M4" s="187"/>
      <c r="N4" s="189" t="s">
        <v>130</v>
      </c>
      <c r="O4" s="179" t="s">
        <v>50</v>
      </c>
      <c r="P4" s="181" t="s">
        <v>49</v>
      </c>
      <c r="Q4" s="97" t="s">
        <v>65</v>
      </c>
      <c r="R4" s="98" t="s">
        <v>64</v>
      </c>
    </row>
    <row r="5" spans="1:18" ht="92.25" customHeight="1">
      <c r="A5" s="194"/>
      <c r="B5" s="195"/>
      <c r="C5" s="196"/>
      <c r="D5" s="197"/>
      <c r="E5" s="204"/>
      <c r="F5" s="186"/>
      <c r="G5" s="180"/>
      <c r="H5" s="188"/>
      <c r="I5" s="180"/>
      <c r="J5" s="188"/>
      <c r="K5" s="182" t="s">
        <v>120</v>
      </c>
      <c r="L5" s="183"/>
      <c r="M5" s="188"/>
      <c r="N5" s="190"/>
      <c r="O5" s="180"/>
      <c r="P5" s="181"/>
      <c r="Q5" s="182" t="s">
        <v>122</v>
      </c>
      <c r="R5" s="18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105313.43</v>
      </c>
      <c r="F8" s="15">
        <f>F9+F15+F18+F19+F20+F32+F17</f>
        <v>65720.83</v>
      </c>
      <c r="G8" s="15">
        <f aca="true" t="shared" si="0" ref="G8:G21">F8-E8</f>
        <v>-39592.59999999999</v>
      </c>
      <c r="H8" s="38">
        <f>F8/E8*100</f>
        <v>62.40498481532698</v>
      </c>
      <c r="I8" s="28">
        <f>F8-D8</f>
        <v>-775329.17</v>
      </c>
      <c r="J8" s="28">
        <f>F8/D8*100</f>
        <v>7.814140657511444</v>
      </c>
      <c r="K8" s="15">
        <f>K9+K15+K18+K19+K20+K32</f>
        <v>28006.519999999997</v>
      </c>
      <c r="L8" s="15"/>
      <c r="M8" s="15">
        <f>M9+M15+M18+M19+M20+M32+M17</f>
        <v>52736.20999999999</v>
      </c>
      <c r="N8" s="15">
        <f>N9+N15+N18+N19+N20+N32+N17</f>
        <v>5140.199999999996</v>
      </c>
      <c r="O8" s="15">
        <f>N8-M8</f>
        <v>-47596.009999999995</v>
      </c>
      <c r="P8" s="15">
        <f>N8/M8*100</f>
        <v>9.747003055395897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459700</v>
      </c>
      <c r="E9" s="33">
        <v>52103.03</v>
      </c>
      <c r="F9" s="117">
        <v>31845.5</v>
      </c>
      <c r="G9" s="36">
        <f t="shared" si="0"/>
        <v>-20257.53</v>
      </c>
      <c r="H9" s="32">
        <f>F9/E9*100</f>
        <v>61.12024578992815</v>
      </c>
      <c r="I9" s="42">
        <f>F9-D9</f>
        <v>-427854.5</v>
      </c>
      <c r="J9" s="42">
        <f>F9/D9*100</f>
        <v>6.927452686534696</v>
      </c>
      <c r="K9" s="106">
        <f>F9-23209.38</f>
        <v>8636.119999999999</v>
      </c>
      <c r="L9" s="106">
        <f>F9/23209.38*100</f>
        <v>137.209610941783</v>
      </c>
      <c r="M9" s="32">
        <f>E9-січень!E9</f>
        <v>24761.51</v>
      </c>
      <c r="N9" s="32">
        <f>F9-січень!F9</f>
        <v>1632.2299999999996</v>
      </c>
      <c r="O9" s="40">
        <f>N9-M9</f>
        <v>-23129.28</v>
      </c>
      <c r="P9" s="42">
        <f>N9/M9*100</f>
        <v>6.591803165477386</v>
      </c>
      <c r="Q9" s="106">
        <f>N9-26568.11</f>
        <v>-24935.88</v>
      </c>
      <c r="R9" s="107">
        <f>N9/26568.11</f>
        <v>0.06143568360715156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411440</v>
      </c>
      <c r="E10" s="109">
        <v>46923.03</v>
      </c>
      <c r="F10" s="118">
        <v>27921.33</v>
      </c>
      <c r="G10" s="109">
        <f t="shared" si="0"/>
        <v>-19001.699999999997</v>
      </c>
      <c r="H10" s="111">
        <f aca="true" t="shared" si="1" ref="H10:H32">F10/E10*100</f>
        <v>59.50453327502508</v>
      </c>
      <c r="I10" s="110">
        <f aca="true" t="shared" si="2" ref="I10:I32">F10-D10</f>
        <v>-383518.67</v>
      </c>
      <c r="J10" s="110">
        <f aca="true" t="shared" si="3" ref="J10:J31">F10/D10*100</f>
        <v>6.7862458681703295</v>
      </c>
      <c r="K10" s="112">
        <f>F10-310040.1/75*60</f>
        <v>-220110.74999999994</v>
      </c>
      <c r="L10" s="112">
        <f>F10/(310040.1/75*60)*100</f>
        <v>11.257144640322334</v>
      </c>
      <c r="M10" s="111">
        <f>E10-січень!E10</f>
        <v>22561.51</v>
      </c>
      <c r="N10" s="111">
        <f>F10-січень!F10</f>
        <v>1037.4900000000016</v>
      </c>
      <c r="O10" s="112">
        <f aca="true" t="shared" si="4" ref="O10:O32">N10-M10</f>
        <v>-21524.019999999997</v>
      </c>
      <c r="P10" s="110">
        <f aca="true" t="shared" si="5" ref="P10:P32">N10/M10*100</f>
        <v>4.598495402125131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23000</v>
      </c>
      <c r="E11" s="109">
        <v>2700</v>
      </c>
      <c r="F11" s="118">
        <v>2684.94</v>
      </c>
      <c r="G11" s="109">
        <f t="shared" si="0"/>
        <v>-15.059999999999945</v>
      </c>
      <c r="H11" s="111">
        <f t="shared" si="1"/>
        <v>99.44222222222223</v>
      </c>
      <c r="I11" s="110">
        <f t="shared" si="2"/>
        <v>-20315.06</v>
      </c>
      <c r="J11" s="110">
        <f t="shared" si="3"/>
        <v>11.673652173913043</v>
      </c>
      <c r="K11" s="112">
        <f>F11-24192.03/75*60</f>
        <v>-16668.683999999997</v>
      </c>
      <c r="L11" s="112">
        <f>F11/(24192.03/75*60)*100</f>
        <v>13.87306067328786</v>
      </c>
      <c r="M11" s="111">
        <f>E11-січень!E11</f>
        <v>1200</v>
      </c>
      <c r="N11" s="111">
        <f>F11-січень!F11</f>
        <v>0</v>
      </c>
      <c r="O11" s="112">
        <f t="shared" si="4"/>
        <v>-1200</v>
      </c>
      <c r="P11" s="110">
        <f t="shared" si="5"/>
        <v>0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6500</v>
      </c>
      <c r="E12" s="109">
        <v>820</v>
      </c>
      <c r="F12" s="118">
        <v>446.1</v>
      </c>
      <c r="G12" s="109">
        <f t="shared" si="0"/>
        <v>-373.9</v>
      </c>
      <c r="H12" s="111">
        <f t="shared" si="1"/>
        <v>54.40243902439025</v>
      </c>
      <c r="I12" s="110">
        <f t="shared" si="2"/>
        <v>-6053.9</v>
      </c>
      <c r="J12" s="110">
        <f t="shared" si="3"/>
        <v>6.863076923076923</v>
      </c>
      <c r="K12" s="112">
        <f>F12-6123.95/75*60</f>
        <v>-4453.0599999999995</v>
      </c>
      <c r="L12" s="112">
        <f>F12/(6123.95*60)*100</f>
        <v>0.12140856799941215</v>
      </c>
      <c r="M12" s="111">
        <f>E12-січень!E12</f>
        <v>170</v>
      </c>
      <c r="N12" s="111">
        <f>F12-січень!F12</f>
        <v>12.490000000000009</v>
      </c>
      <c r="O12" s="112">
        <f t="shared" si="4"/>
        <v>-157.51</v>
      </c>
      <c r="P12" s="110">
        <f t="shared" si="5"/>
        <v>7.347058823529418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12400</v>
      </c>
      <c r="E13" s="109">
        <v>460</v>
      </c>
      <c r="F13" s="118">
        <v>300.31</v>
      </c>
      <c r="G13" s="109">
        <f t="shared" si="0"/>
        <v>-159.69</v>
      </c>
      <c r="H13" s="111">
        <f t="shared" si="1"/>
        <v>65.28478260869565</v>
      </c>
      <c r="I13" s="110">
        <f t="shared" si="2"/>
        <v>-12099.69</v>
      </c>
      <c r="J13" s="110">
        <f t="shared" si="3"/>
        <v>2.4218548387096774</v>
      </c>
      <c r="K13" s="112">
        <f>F13-8694.58/75*60</f>
        <v>-6655.353999999999</v>
      </c>
      <c r="L13" s="112">
        <f>F13/(8694.58/75*60)*100</f>
        <v>4.31748859634393</v>
      </c>
      <c r="M13" s="111">
        <f>E13-січень!E13</f>
        <v>230</v>
      </c>
      <c r="N13" s="111">
        <f>F13-січень!F13</f>
        <v>90.47</v>
      </c>
      <c r="O13" s="112">
        <f t="shared" si="4"/>
        <v>-139.53</v>
      </c>
      <c r="P13" s="110">
        <f t="shared" si="5"/>
        <v>39.33478260869565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6360</v>
      </c>
      <c r="E14" s="109">
        <v>1200</v>
      </c>
      <c r="F14" s="118">
        <v>1.01</v>
      </c>
      <c r="G14" s="109">
        <f t="shared" si="0"/>
        <v>-1198.99</v>
      </c>
      <c r="H14" s="111">
        <f t="shared" si="1"/>
        <v>0.08416666666666667</v>
      </c>
      <c r="I14" s="110">
        <f t="shared" si="2"/>
        <v>-6358.99</v>
      </c>
      <c r="J14" s="110">
        <f t="shared" si="3"/>
        <v>0.015880503144654088</v>
      </c>
      <c r="K14" s="112">
        <f>F14-146.72/75*60</f>
        <v>-116.36599999999999</v>
      </c>
      <c r="L14" s="112">
        <f>F14/(146.72/75*60)*100</f>
        <v>0.8604825517993457</v>
      </c>
      <c r="M14" s="111">
        <f>E14-січень!E14</f>
        <v>600</v>
      </c>
      <c r="N14" s="111">
        <f>F14-січень!F14</f>
        <v>-0.030000000000000027</v>
      </c>
      <c r="O14" s="112">
        <f t="shared" si="4"/>
        <v>-600.03</v>
      </c>
      <c r="P14" s="110">
        <f t="shared" si="5"/>
        <v>-0.0050000000000000044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100</v>
      </c>
      <c r="F15" s="117">
        <v>0</v>
      </c>
      <c r="G15" s="36">
        <f t="shared" si="0"/>
        <v>-100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>E15-січень!E15</f>
        <v>100</v>
      </c>
      <c r="N15" s="32">
        <f>F15-січень!F15</f>
        <v>0</v>
      </c>
      <c r="O15" s="40">
        <f t="shared" si="4"/>
        <v>-100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32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>E17-січень!E17</f>
        <v>0</v>
      </c>
      <c r="N17" s="32">
        <f>F17-січень!F17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10</v>
      </c>
      <c r="E18" s="33">
        <v>0</v>
      </c>
      <c r="F18" s="117">
        <v>18</v>
      </c>
      <c r="G18" s="36">
        <f t="shared" si="0"/>
        <v>18</v>
      </c>
      <c r="H18" s="32"/>
      <c r="I18" s="42">
        <f t="shared" si="2"/>
        <v>8</v>
      </c>
      <c r="J18" s="42"/>
      <c r="K18" s="43">
        <f>F18-0.12</f>
        <v>17.88</v>
      </c>
      <c r="L18" s="112">
        <f>F18/0.12*100</f>
        <v>15000</v>
      </c>
      <c r="M18" s="32">
        <f>E18-січень!E18</f>
        <v>0</v>
      </c>
      <c r="N18" s="32">
        <f>F18-січень!F18</f>
        <v>18</v>
      </c>
      <c r="O18" s="40">
        <f t="shared" si="4"/>
        <v>18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109900</v>
      </c>
      <c r="E19" s="36">
        <v>14200</v>
      </c>
      <c r="F19" s="125">
        <v>5569.58</v>
      </c>
      <c r="G19" s="36">
        <f t="shared" si="0"/>
        <v>-8630.42</v>
      </c>
      <c r="H19" s="32">
        <f t="shared" si="1"/>
        <v>39.222394366197186</v>
      </c>
      <c r="I19" s="42">
        <f t="shared" si="2"/>
        <v>-104330.42</v>
      </c>
      <c r="J19" s="42">
        <f t="shared" si="3"/>
        <v>5.067861692447679</v>
      </c>
      <c r="K19" s="133">
        <f>F19-0</f>
        <v>5569.58</v>
      </c>
      <c r="L19" s="134"/>
      <c r="M19" s="32">
        <f>E19-січень!E19</f>
        <v>7200</v>
      </c>
      <c r="N19" s="32">
        <f>F19-січень!F19</f>
        <v>9.180000000000291</v>
      </c>
      <c r="O19" s="40">
        <f t="shared" si="4"/>
        <v>-7190.82</v>
      </c>
      <c r="P19" s="42">
        <f t="shared" si="5"/>
        <v>0.12750000000000405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270940</v>
      </c>
      <c r="E20" s="36">
        <f>E21+E25+E27</f>
        <v>36879</v>
      </c>
      <c r="F20" s="126">
        <f>F21+F25+F27+F26</f>
        <v>28275.899999999998</v>
      </c>
      <c r="G20" s="36">
        <f t="shared" si="0"/>
        <v>-8603.100000000002</v>
      </c>
      <c r="H20" s="32">
        <f t="shared" si="1"/>
        <v>76.67208980720734</v>
      </c>
      <c r="I20" s="42">
        <f t="shared" si="2"/>
        <v>-242664.1</v>
      </c>
      <c r="J20" s="42">
        <f t="shared" si="3"/>
        <v>10.436222041780468</v>
      </c>
      <c r="K20" s="132">
        <f>K21+K25+K26+K27</f>
        <v>13213.64</v>
      </c>
      <c r="L20" s="110">
        <f>F20/15062.3*100</f>
        <v>187.72631005888874</v>
      </c>
      <c r="M20" s="32">
        <f>E20-січень!E20</f>
        <v>18644.5</v>
      </c>
      <c r="N20" s="32">
        <f>F20-січень!F20</f>
        <v>3478.8399999999965</v>
      </c>
      <c r="O20" s="40">
        <f t="shared" si="4"/>
        <v>-15165.660000000003</v>
      </c>
      <c r="P20" s="42">
        <f t="shared" si="5"/>
        <v>18.65880018235939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161400</v>
      </c>
      <c r="E21" s="36">
        <f>E22+E23+E24</f>
        <v>19850</v>
      </c>
      <c r="F21" s="126">
        <f>F22+F23+F24</f>
        <v>12222.88</v>
      </c>
      <c r="G21" s="36">
        <f t="shared" si="0"/>
        <v>-7627.120000000001</v>
      </c>
      <c r="H21" s="32">
        <f t="shared" si="1"/>
        <v>61.57622166246851</v>
      </c>
      <c r="I21" s="42">
        <f t="shared" si="2"/>
        <v>-149177.12</v>
      </c>
      <c r="J21" s="42">
        <f t="shared" si="3"/>
        <v>7.573035935563816</v>
      </c>
      <c r="K21" s="132">
        <f>K22+K23+K24</f>
        <v>5640.199999999999</v>
      </c>
      <c r="L21" s="110">
        <f>F21/6582.7*100</f>
        <v>185.68186306530754</v>
      </c>
      <c r="M21" s="32">
        <f>E21-січень!E21</f>
        <v>10130</v>
      </c>
      <c r="N21" s="32">
        <f>F21-січень!F21</f>
        <v>323.5799999999999</v>
      </c>
      <c r="O21" s="40">
        <f t="shared" si="4"/>
        <v>-9806.42</v>
      </c>
      <c r="P21" s="42">
        <f t="shared" si="5"/>
        <v>3.1942744323790713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v>18500</v>
      </c>
      <c r="E22" s="109">
        <v>500</v>
      </c>
      <c r="F22" s="118">
        <v>3145.28</v>
      </c>
      <c r="G22" s="109">
        <f>F22-E22</f>
        <v>2645.28</v>
      </c>
      <c r="H22" s="111">
        <f t="shared" si="1"/>
        <v>629.056</v>
      </c>
      <c r="I22" s="110">
        <f t="shared" si="2"/>
        <v>-15354.72</v>
      </c>
      <c r="J22" s="110">
        <f t="shared" si="3"/>
        <v>17.001513513513515</v>
      </c>
      <c r="K22" s="110">
        <f>F22-84.67</f>
        <v>3060.61</v>
      </c>
      <c r="L22" s="110">
        <f>F22/84.67*100</f>
        <v>3714.7513877406404</v>
      </c>
      <c r="M22" s="111">
        <f>E22-січень!E22</f>
        <v>250</v>
      </c>
      <c r="N22" s="111">
        <f>F22-січень!F22</f>
        <v>95.68000000000029</v>
      </c>
      <c r="O22" s="112">
        <f t="shared" si="4"/>
        <v>-154.3199999999997</v>
      </c>
      <c r="P22" s="110">
        <f t="shared" si="5"/>
        <v>38.27200000000012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v>2800</v>
      </c>
      <c r="E23" s="109">
        <v>40</v>
      </c>
      <c r="F23" s="118">
        <v>172.13</v>
      </c>
      <c r="G23" s="109">
        <f>F23-E23</f>
        <v>132.13</v>
      </c>
      <c r="H23" s="111">
        <f t="shared" si="1"/>
        <v>430.32500000000005</v>
      </c>
      <c r="I23" s="110">
        <f t="shared" si="2"/>
        <v>-2627.87</v>
      </c>
      <c r="J23" s="110">
        <f t="shared" si="3"/>
        <v>6.147499999999999</v>
      </c>
      <c r="K23" s="110">
        <f>F23-0</f>
        <v>172.13</v>
      </c>
      <c r="L23" s="110"/>
      <c r="M23" s="111">
        <f>E23-січень!E23</f>
        <v>20</v>
      </c>
      <c r="N23" s="111">
        <f>F23-січень!F23</f>
        <v>15.259999999999991</v>
      </c>
      <c r="O23" s="112">
        <f t="shared" si="4"/>
        <v>-4.740000000000009</v>
      </c>
      <c r="P23" s="110">
        <f t="shared" si="5"/>
        <v>76.29999999999995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v>140100</v>
      </c>
      <c r="E24" s="109">
        <v>19310</v>
      </c>
      <c r="F24" s="118">
        <v>8905.47</v>
      </c>
      <c r="G24" s="109">
        <f>F24-E24</f>
        <v>-10404.53</v>
      </c>
      <c r="H24" s="111">
        <f t="shared" si="1"/>
        <v>46.11843604350077</v>
      </c>
      <c r="I24" s="110">
        <f t="shared" si="2"/>
        <v>-131194.53</v>
      </c>
      <c r="J24" s="110">
        <f t="shared" si="3"/>
        <v>6.356509635974304</v>
      </c>
      <c r="K24" s="142">
        <f>F24-6498.01</f>
        <v>2407.459999999999</v>
      </c>
      <c r="L24" s="142">
        <f>F24/6498.01*100</f>
        <v>137.04918890552645</v>
      </c>
      <c r="M24" s="111">
        <f>E24-січень!E24</f>
        <v>9860</v>
      </c>
      <c r="N24" s="111">
        <f>F24-січень!F24</f>
        <v>212.63999999999942</v>
      </c>
      <c r="O24" s="112">
        <f t="shared" si="4"/>
        <v>-9647.36</v>
      </c>
      <c r="P24" s="110">
        <f t="shared" si="5"/>
        <v>2.1565922920892437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77</v>
      </c>
      <c r="E25" s="36">
        <v>24</v>
      </c>
      <c r="F25" s="125">
        <v>2.61</v>
      </c>
      <c r="G25" s="36">
        <f>F25-E25</f>
        <v>-21.39</v>
      </c>
      <c r="H25" s="32">
        <f t="shared" si="1"/>
        <v>10.875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2">
        <f>E25-січень!E25</f>
        <v>12</v>
      </c>
      <c r="N25" s="32">
        <f>F25-січень!F25</f>
        <v>0</v>
      </c>
      <c r="O25" s="40">
        <f t="shared" si="4"/>
        <v>-12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-1.33</v>
      </c>
      <c r="G26" s="36">
        <f aca="true" t="shared" si="6" ref="G26:G32">F26-E26</f>
        <v>-1.33</v>
      </c>
      <c r="H26" s="32"/>
      <c r="I26" s="42">
        <f t="shared" si="2"/>
        <v>-1.33</v>
      </c>
      <c r="J26" s="42"/>
      <c r="K26" s="132">
        <f>F26-142.7</f>
        <v>-144.03</v>
      </c>
      <c r="L26" s="132">
        <f>F26/142.7*100</f>
        <v>-0.9320252277505258</v>
      </c>
      <c r="M26" s="32">
        <f>E26-січень!E26</f>
        <v>0</v>
      </c>
      <c r="N26" s="32">
        <f>F26-січень!F26</f>
        <v>-0.9800000000000001</v>
      </c>
      <c r="O26" s="40">
        <f t="shared" si="4"/>
        <v>-0.9800000000000001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109463</v>
      </c>
      <c r="E27" s="36">
        <v>17005</v>
      </c>
      <c r="F27" s="125">
        <v>16051.74</v>
      </c>
      <c r="G27" s="36">
        <f t="shared" si="6"/>
        <v>-953.2600000000002</v>
      </c>
      <c r="H27" s="32">
        <f t="shared" si="1"/>
        <v>94.39423698912086</v>
      </c>
      <c r="I27" s="42">
        <f t="shared" si="2"/>
        <v>-93411.26</v>
      </c>
      <c r="J27" s="42">
        <f t="shared" si="3"/>
        <v>14.664078273023762</v>
      </c>
      <c r="K27" s="106">
        <f>F27-8334.48</f>
        <v>7717.26</v>
      </c>
      <c r="L27" s="106">
        <f>F27/8334.48*100</f>
        <v>192.59437901344776</v>
      </c>
      <c r="M27" s="32">
        <f>E27-січень!E27</f>
        <v>8502.5</v>
      </c>
      <c r="N27" s="32">
        <f>F27-січень!F27</f>
        <v>3156.24</v>
      </c>
      <c r="O27" s="40">
        <f t="shared" si="4"/>
        <v>-5346.26</v>
      </c>
      <c r="P27" s="42">
        <f t="shared" si="5"/>
        <v>37.121317259629514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6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111">
        <f>E28-січень!E28</f>
        <v>0</v>
      </c>
      <c r="N28" s="111">
        <f>F28-січень!F28</f>
        <v>0</v>
      </c>
      <c r="O28" s="112">
        <f t="shared" si="4"/>
        <v>0</v>
      </c>
      <c r="P28" s="110" t="e">
        <f t="shared" si="5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27600</v>
      </c>
      <c r="E29" s="109">
        <v>5000</v>
      </c>
      <c r="F29" s="118">
        <v>2562.53</v>
      </c>
      <c r="G29" s="36">
        <f t="shared" si="6"/>
        <v>-2437.47</v>
      </c>
      <c r="H29" s="32">
        <f t="shared" si="1"/>
        <v>51.2506</v>
      </c>
      <c r="I29" s="42">
        <f t="shared" si="2"/>
        <v>-25037.47</v>
      </c>
      <c r="J29" s="42">
        <f t="shared" si="3"/>
        <v>9.284528985507247</v>
      </c>
      <c r="K29" s="113">
        <f>F29-22211.27</f>
        <v>-19648.74</v>
      </c>
      <c r="L29" s="113">
        <f>F29/22211.27*100</f>
        <v>11.537071045464758</v>
      </c>
      <c r="M29" s="111">
        <f>E29-січень!E29</f>
        <v>2500</v>
      </c>
      <c r="N29" s="111">
        <f>F29-січень!F29</f>
        <v>406.5600000000004</v>
      </c>
      <c r="O29" s="112">
        <f t="shared" si="4"/>
        <v>-2093.4399999999996</v>
      </c>
      <c r="P29" s="110">
        <f t="shared" si="5"/>
        <v>16.262400000000017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81812</v>
      </c>
      <c r="E30" s="109">
        <v>12000</v>
      </c>
      <c r="F30" s="118">
        <v>11731.55</v>
      </c>
      <c r="G30" s="36">
        <f t="shared" si="6"/>
        <v>-268.4500000000007</v>
      </c>
      <c r="H30" s="32">
        <f t="shared" si="1"/>
        <v>97.76291666666667</v>
      </c>
      <c r="I30" s="42">
        <f t="shared" si="2"/>
        <v>-70080.45</v>
      </c>
      <c r="J30" s="42">
        <f t="shared" si="3"/>
        <v>14.339644550921623</v>
      </c>
      <c r="K30" s="113">
        <f>F30-57105.32</f>
        <v>-45373.770000000004</v>
      </c>
      <c r="L30" s="113">
        <f>F30/57105.32*100</f>
        <v>20.54370766156288</v>
      </c>
      <c r="M30" s="111">
        <f>E30-січень!E30</f>
        <v>6000</v>
      </c>
      <c r="N30" s="111">
        <f>F30-січень!F30</f>
        <v>995.2099999999991</v>
      </c>
      <c r="O30" s="112">
        <f t="shared" si="4"/>
        <v>-5004.790000000001</v>
      </c>
      <c r="P30" s="110">
        <f t="shared" si="5"/>
        <v>16.58683333333332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51</v>
      </c>
      <c r="E31" s="109">
        <v>5</v>
      </c>
      <c r="F31" s="118">
        <v>3.19</v>
      </c>
      <c r="G31" s="36">
        <f t="shared" si="6"/>
        <v>-1.81</v>
      </c>
      <c r="H31" s="32">
        <f t="shared" si="1"/>
        <v>63.800000000000004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32">
        <f>E31-січень!E31</f>
        <v>2.5</v>
      </c>
      <c r="N31" s="111">
        <f>F31-січень!F31</f>
        <v>0</v>
      </c>
      <c r="O31" s="112">
        <f t="shared" si="4"/>
        <v>-2.5</v>
      </c>
      <c r="P31" s="110">
        <f t="shared" si="5"/>
        <v>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2031.4</v>
      </c>
      <c r="F32" s="125">
        <v>11.85</v>
      </c>
      <c r="G32" s="36">
        <f t="shared" si="6"/>
        <v>-2019.5500000000002</v>
      </c>
      <c r="H32" s="32">
        <f t="shared" si="1"/>
        <v>0.583341537855666</v>
      </c>
      <c r="I32" s="42">
        <f t="shared" si="2"/>
        <v>11.85</v>
      </c>
      <c r="J32" s="42"/>
      <c r="K32" s="132">
        <f>F32-8.89</f>
        <v>2.959999999999999</v>
      </c>
      <c r="L32" s="132">
        <f>F32/8.89*100</f>
        <v>133.29583802024746</v>
      </c>
      <c r="M32" s="32">
        <f>E32-січень!E32</f>
        <v>2030.2</v>
      </c>
      <c r="N32" s="32">
        <f>F32-січень!F32</f>
        <v>1.9499999999999993</v>
      </c>
      <c r="O32" s="40">
        <f t="shared" si="4"/>
        <v>-2028.25</v>
      </c>
      <c r="P32" s="42">
        <f t="shared" si="5"/>
        <v>0.09604965028076048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4642.2</v>
      </c>
      <c r="F33" s="15">
        <f>F34+F35+F36+F37+F38+F39+F41+F42+F43+F44+F45+F50+F51+F55</f>
        <v>2676.9100000000003</v>
      </c>
      <c r="G33" s="15">
        <f>G34+G35+G36+G37+G38+G39+G41+G42+G43+G44+G45+G50+G51+G55</f>
        <v>-1965.29</v>
      </c>
      <c r="H33" s="38">
        <f>F33/E33*100</f>
        <v>57.66468484770153</v>
      </c>
      <c r="I33" s="28">
        <f>F33-D33</f>
        <v>-40143.09</v>
      </c>
      <c r="J33" s="28">
        <f>F33/D33*100</f>
        <v>6.251541335824381</v>
      </c>
      <c r="K33" s="15">
        <f>K34+K35+K36+K37+K38+K44+K45+K50+K51+K55+K41</f>
        <v>1653.44</v>
      </c>
      <c r="L33" s="15"/>
      <c r="M33" s="15">
        <f>M34+M35+M36+M37+M38+M39+M41+M42+M43+M44+M45+M50+M51+M55</f>
        <v>2326.1</v>
      </c>
      <c r="N33" s="15">
        <f>N34+N35+N36+N37+N38+N39+N41+N42+N43+N44+N45+N50+N51+N55</f>
        <v>645.9399999999999</v>
      </c>
      <c r="O33" s="15">
        <f>O34+O35+O36+O37+O38+O39+O41+O42+O43+O44+O45+O50+O51+O55</f>
        <v>-1680.1599999999999</v>
      </c>
      <c r="P33" s="15">
        <f>N33/M33*100</f>
        <v>27.769227462275907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100</v>
      </c>
      <c r="E34" s="33">
        <v>10</v>
      </c>
      <c r="F34" s="117">
        <v>4.71</v>
      </c>
      <c r="G34" s="36">
        <f>F34-E34</f>
        <v>-5.29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2">
        <f>E34-січень!E34</f>
        <v>10</v>
      </c>
      <c r="N34" s="32">
        <f>F34-січень!F34</f>
        <v>0</v>
      </c>
      <c r="O34" s="40">
        <f>N34-M34</f>
        <v>-10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10000</v>
      </c>
      <c r="E35" s="33">
        <v>0</v>
      </c>
      <c r="F35" s="117">
        <v>432.1</v>
      </c>
      <c r="G35" s="36">
        <f aca="true" t="shared" si="7" ref="G35:G57">F35-E35</f>
        <v>432.1</v>
      </c>
      <c r="H35" s="32"/>
      <c r="I35" s="42">
        <f aca="true" t="shared" si="8" ref="I35:I57">F35-D35</f>
        <v>-9567.9</v>
      </c>
      <c r="J35" s="42"/>
      <c r="K35" s="42">
        <f>F35-0</f>
        <v>432.1</v>
      </c>
      <c r="L35" s="42"/>
      <c r="M35" s="32">
        <f>E35-січень!E35</f>
        <v>0</v>
      </c>
      <c r="N35" s="32">
        <f>F35-січень!F35</f>
        <v>432.1</v>
      </c>
      <c r="O35" s="40">
        <f aca="true" t="shared" si="9" ref="O35:O57">N35-M35</f>
        <v>432.1</v>
      </c>
      <c r="P35" s="42"/>
      <c r="Q35" s="42">
        <f>N35-0</f>
        <v>432.1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4</v>
      </c>
      <c r="F36" s="117">
        <v>17.92</v>
      </c>
      <c r="G36" s="36">
        <f t="shared" si="7"/>
        <v>13.920000000000002</v>
      </c>
      <c r="H36" s="32">
        <f aca="true" t="shared" si="10" ref="H36:H56">F36/E36*100</f>
        <v>448.00000000000006</v>
      </c>
      <c r="I36" s="42">
        <f t="shared" si="8"/>
        <v>-382.08</v>
      </c>
      <c r="J36" s="42">
        <f aca="true" t="shared" si="11" ref="J36:J56">F36/D36*100</f>
        <v>4.48</v>
      </c>
      <c r="K36" s="42">
        <f>F36-1.67</f>
        <v>16.25</v>
      </c>
      <c r="L36" s="42">
        <f>F36/1.67*100</f>
        <v>1073.053892215569</v>
      </c>
      <c r="M36" s="32">
        <f>E36-січень!E36</f>
        <v>2</v>
      </c>
      <c r="N36" s="32">
        <f>F36-січень!F36</f>
        <v>0.08000000000000185</v>
      </c>
      <c r="O36" s="40">
        <f t="shared" si="9"/>
        <v>-1.9199999999999982</v>
      </c>
      <c r="P36" s="42">
        <f aca="true" t="shared" si="12" ref="P36:P56">N36/M36*100</f>
        <v>4.000000000000092</v>
      </c>
      <c r="Q36" s="42">
        <f>N36-4.23</f>
        <v>-4.149999999999999</v>
      </c>
      <c r="R36" s="100">
        <f>N36/4.23</f>
        <v>0.018912529550827856</v>
      </c>
    </row>
    <row r="37" spans="1:18" s="6" customFormat="1" ht="30.75" hidden="1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2">
        <f>E37-січень!E37</f>
        <v>0</v>
      </c>
      <c r="N37" s="32">
        <f>F37-січень!F37</f>
        <v>0</v>
      </c>
      <c r="O37" s="40">
        <f t="shared" si="9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16</v>
      </c>
      <c r="F38" s="117">
        <v>-3.8</v>
      </c>
      <c r="G38" s="36">
        <f t="shared" si="7"/>
        <v>-19.8</v>
      </c>
      <c r="H38" s="32">
        <f t="shared" si="10"/>
        <v>-23.75</v>
      </c>
      <c r="I38" s="42">
        <f t="shared" si="8"/>
        <v>-153.8</v>
      </c>
      <c r="J38" s="42">
        <f t="shared" si="11"/>
        <v>-2.533333333333333</v>
      </c>
      <c r="K38" s="42">
        <f>F38-7.6</f>
        <v>-11.399999999999999</v>
      </c>
      <c r="L38" s="42">
        <f>F38/7.6*100</f>
        <v>-50</v>
      </c>
      <c r="M38" s="32">
        <f>E38-січень!E38</f>
        <v>8</v>
      </c>
      <c r="N38" s="32">
        <f>F38-січень!F38</f>
        <v>2.6000000000000005</v>
      </c>
      <c r="O38" s="40">
        <f t="shared" si="9"/>
        <v>-5.3999999999999995</v>
      </c>
      <c r="P38" s="42">
        <f t="shared" si="12"/>
        <v>32.50000000000001</v>
      </c>
      <c r="Q38" s="42">
        <f>N38-9.02</f>
        <v>-6.419999999999999</v>
      </c>
      <c r="R38" s="100">
        <f>N38/9.02</f>
        <v>0.2882483370288249</v>
      </c>
    </row>
    <row r="39" spans="1:18" s="6" customFormat="1" ht="30.75">
      <c r="A39" s="8"/>
      <c r="B39" s="145" t="s">
        <v>127</v>
      </c>
      <c r="C39" s="54">
        <v>22010300</v>
      </c>
      <c r="D39" s="33">
        <v>90</v>
      </c>
      <c r="E39" s="33"/>
      <c r="F39" s="117">
        <v>0</v>
      </c>
      <c r="G39" s="36">
        <f t="shared" si="7"/>
        <v>0</v>
      </c>
      <c r="H39" s="32" t="e">
        <f t="shared" si="10"/>
        <v>#DIV/0!</v>
      </c>
      <c r="I39" s="42">
        <f t="shared" si="8"/>
        <v>-90</v>
      </c>
      <c r="J39" s="42">
        <f t="shared" si="11"/>
        <v>0</v>
      </c>
      <c r="K39" s="42">
        <f>F39-0</f>
        <v>0</v>
      </c>
      <c r="L39" s="42"/>
      <c r="M39" s="32">
        <f>E39-січень!E39</f>
        <v>0</v>
      </c>
      <c r="N39" s="32">
        <f>F39-січень!F39</f>
        <v>0</v>
      </c>
      <c r="O39" s="40">
        <f t="shared" si="9"/>
        <v>0</v>
      </c>
      <c r="P39" s="42" t="e">
        <f t="shared" si="12"/>
        <v>#DIV/0!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2">
        <f>E40-січень!E40</f>
        <v>0</v>
      </c>
      <c r="N40" s="32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9900</v>
      </c>
      <c r="E41" s="33">
        <v>1500</v>
      </c>
      <c r="F41" s="117">
        <v>640.45</v>
      </c>
      <c r="G41" s="36">
        <f t="shared" si="7"/>
        <v>-859.55</v>
      </c>
      <c r="H41" s="32">
        <f t="shared" si="10"/>
        <v>42.69666666666667</v>
      </c>
      <c r="I41" s="42">
        <f t="shared" si="8"/>
        <v>-9259.55</v>
      </c>
      <c r="J41" s="42">
        <f t="shared" si="11"/>
        <v>6.46919191919192</v>
      </c>
      <c r="K41" s="42">
        <f>F41-0</f>
        <v>640.45</v>
      </c>
      <c r="L41" s="42"/>
      <c r="M41" s="32">
        <f>E41-січень!E41</f>
        <v>750</v>
      </c>
      <c r="N41" s="32">
        <f>F41-січень!F41</f>
        <v>101.43000000000006</v>
      </c>
      <c r="O41" s="40">
        <f t="shared" si="9"/>
        <v>-648.5699999999999</v>
      </c>
      <c r="P41" s="42">
        <f t="shared" si="12"/>
        <v>13.524000000000008</v>
      </c>
      <c r="Q41" s="42"/>
      <c r="R41" s="100"/>
    </row>
    <row r="42" spans="1:18" s="6" customFormat="1" ht="30.75">
      <c r="A42" s="8"/>
      <c r="B42" s="35" t="s">
        <v>112</v>
      </c>
      <c r="C42" s="77">
        <v>22012600</v>
      </c>
      <c r="D42" s="33">
        <v>1500</v>
      </c>
      <c r="E42" s="33">
        <v>0</v>
      </c>
      <c r="F42" s="117">
        <v>1.09</v>
      </c>
      <c r="G42" s="36">
        <f t="shared" si="7"/>
        <v>1.09</v>
      </c>
      <c r="H42" s="32"/>
      <c r="I42" s="42">
        <f t="shared" si="8"/>
        <v>-1498.91</v>
      </c>
      <c r="J42" s="42"/>
      <c r="K42" s="42"/>
      <c r="L42" s="42"/>
      <c r="M42" s="32">
        <f>E42-січень!E42</f>
        <v>0</v>
      </c>
      <c r="N42" s="32">
        <f>F42-січень!F42</f>
        <v>0.06000000000000005</v>
      </c>
      <c r="O42" s="40">
        <f t="shared" si="9"/>
        <v>0.06000000000000005</v>
      </c>
      <c r="P42" s="42"/>
      <c r="Q42" s="42"/>
      <c r="R42" s="100"/>
    </row>
    <row r="43" spans="1:18" s="6" customFormat="1" ht="30.75">
      <c r="A43" s="8"/>
      <c r="B43" s="35" t="s">
        <v>128</v>
      </c>
      <c r="C43" s="77">
        <v>22012900</v>
      </c>
      <c r="D43" s="33">
        <v>50</v>
      </c>
      <c r="E43" s="33"/>
      <c r="F43" s="117"/>
      <c r="G43" s="36"/>
      <c r="H43" s="32"/>
      <c r="I43" s="42"/>
      <c r="J43" s="42"/>
      <c r="K43" s="42"/>
      <c r="L43" s="42"/>
      <c r="M43" s="32">
        <f>E43-січень!E43</f>
        <v>0</v>
      </c>
      <c r="N43" s="32">
        <f>F43-січень!F43</f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1400</v>
      </c>
      <c r="F44" s="117">
        <v>716.27</v>
      </c>
      <c r="G44" s="36">
        <f t="shared" si="7"/>
        <v>-683.73</v>
      </c>
      <c r="H44" s="32">
        <f t="shared" si="10"/>
        <v>51.162142857142854</v>
      </c>
      <c r="I44" s="42">
        <f t="shared" si="8"/>
        <v>-7783.73</v>
      </c>
      <c r="J44" s="42">
        <f t="shared" si="11"/>
        <v>8.426705882352941</v>
      </c>
      <c r="K44" s="42">
        <f>F44-690.7</f>
        <v>25.569999999999936</v>
      </c>
      <c r="L44" s="42">
        <f>F44/690.7*100</f>
        <v>103.70204140726797</v>
      </c>
      <c r="M44" s="32">
        <f>E44-січень!E44</f>
        <v>700</v>
      </c>
      <c r="N44" s="32">
        <f>F44-січень!F44</f>
        <v>0.03999999999996362</v>
      </c>
      <c r="O44" s="40">
        <f t="shared" si="9"/>
        <v>-699.96</v>
      </c>
      <c r="P44" s="42">
        <f t="shared" si="12"/>
        <v>0.005714285714280517</v>
      </c>
      <c r="Q44" s="42">
        <f>N44-647.49</f>
        <v>-647.45</v>
      </c>
      <c r="R44" s="100">
        <f>N44/647.49</f>
        <v>6.177701586119264E-05</v>
      </c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1012.2</v>
      </c>
      <c r="F45" s="117">
        <v>497.81</v>
      </c>
      <c r="G45" s="36">
        <f t="shared" si="7"/>
        <v>-514.3900000000001</v>
      </c>
      <c r="H45" s="32">
        <f t="shared" si="10"/>
        <v>49.18099189883422</v>
      </c>
      <c r="I45" s="42">
        <f t="shared" si="8"/>
        <v>-6802.19</v>
      </c>
      <c r="J45" s="42">
        <f t="shared" si="11"/>
        <v>6.819315068493151</v>
      </c>
      <c r="K45" s="132">
        <f>F45-59.21</f>
        <v>438.6</v>
      </c>
      <c r="L45" s="132">
        <f>F45/59.21*100</f>
        <v>840.7532511400101</v>
      </c>
      <c r="M45" s="152">
        <f>E45-січень!E45</f>
        <v>506.1</v>
      </c>
      <c r="N45" s="152">
        <f>F45-січень!F45</f>
        <v>89.61000000000001</v>
      </c>
      <c r="O45" s="40">
        <f t="shared" si="9"/>
        <v>-416.49</v>
      </c>
      <c r="P45" s="132">
        <f t="shared" si="12"/>
        <v>17.705986959098993</v>
      </c>
      <c r="Q45" s="42">
        <f>N45-79.51</f>
        <v>10.100000000000009</v>
      </c>
      <c r="R45" s="100">
        <f>N45/79.51</f>
        <v>1.1270280467865679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1100</v>
      </c>
      <c r="E46" s="109">
        <v>110</v>
      </c>
      <c r="F46" s="118">
        <v>27.62</v>
      </c>
      <c r="G46" s="36">
        <f t="shared" si="7"/>
        <v>-82.38</v>
      </c>
      <c r="H46" s="111">
        <f t="shared" si="10"/>
        <v>25.10909090909091</v>
      </c>
      <c r="I46" s="110">
        <f t="shared" si="8"/>
        <v>-1072.38</v>
      </c>
      <c r="J46" s="110">
        <f t="shared" si="11"/>
        <v>2.510909090909091</v>
      </c>
      <c r="K46" s="110">
        <f>F46-857.86</f>
        <v>-830.24</v>
      </c>
      <c r="L46" s="110">
        <f>F46/857.86*100</f>
        <v>3.2196395682279157</v>
      </c>
      <c r="M46" s="111">
        <f>E46-січень!E46</f>
        <v>55</v>
      </c>
      <c r="N46" s="111">
        <f>F46-січень!F46</f>
        <v>1.6300000000000026</v>
      </c>
      <c r="O46" s="112">
        <f t="shared" si="9"/>
        <v>-53.37</v>
      </c>
      <c r="P46" s="110">
        <f t="shared" si="12"/>
        <v>2.9636363636363683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45</v>
      </c>
      <c r="E47" s="109">
        <v>2</v>
      </c>
      <c r="F47" s="118">
        <v>0.04</v>
      </c>
      <c r="G47" s="36">
        <f t="shared" si="7"/>
        <v>-1.96</v>
      </c>
      <c r="H47" s="111">
        <f t="shared" si="10"/>
        <v>2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11">
        <f>E47-січень!E47</f>
        <v>1</v>
      </c>
      <c r="N47" s="111">
        <f>F47-січень!F47</f>
        <v>0</v>
      </c>
      <c r="O47" s="112">
        <f t="shared" si="9"/>
        <v>-1</v>
      </c>
      <c r="P47" s="110">
        <f t="shared" si="12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1</v>
      </c>
      <c r="E48" s="109">
        <v>0.2</v>
      </c>
      <c r="F48" s="118">
        <v>0</v>
      </c>
      <c r="G48" s="36">
        <f t="shared" si="7"/>
        <v>-0.2</v>
      </c>
      <c r="H48" s="111">
        <f t="shared" si="10"/>
        <v>0</v>
      </c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11">
        <f>E48-січень!E48</f>
        <v>0.1</v>
      </c>
      <c r="N48" s="111">
        <f>F48-січень!F48</f>
        <v>0</v>
      </c>
      <c r="O48" s="112">
        <f t="shared" si="9"/>
        <v>-0.1</v>
      </c>
      <c r="P48" s="110">
        <f t="shared" si="12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6154</v>
      </c>
      <c r="E49" s="109">
        <v>900</v>
      </c>
      <c r="F49" s="118">
        <v>427.73</v>
      </c>
      <c r="G49" s="36">
        <f t="shared" si="7"/>
        <v>-472.27</v>
      </c>
      <c r="H49" s="111">
        <f t="shared" si="10"/>
        <v>47.52555555555556</v>
      </c>
      <c r="I49" s="110">
        <f t="shared" si="8"/>
        <v>-5726.27</v>
      </c>
      <c r="J49" s="110">
        <f t="shared" si="11"/>
        <v>6.950438739031524</v>
      </c>
      <c r="K49" s="110">
        <f>F49-117.58</f>
        <v>310.15000000000003</v>
      </c>
      <c r="L49" s="110">
        <f>F49/117.58*100</f>
        <v>363.77785337642456</v>
      </c>
      <c r="M49" s="111">
        <f>E49-січень!E49</f>
        <v>450</v>
      </c>
      <c r="N49" s="111">
        <f>F49-січень!F49</f>
        <v>45.56</v>
      </c>
      <c r="O49" s="112">
        <f t="shared" si="9"/>
        <v>-404.44</v>
      </c>
      <c r="P49" s="110">
        <f t="shared" si="12"/>
        <v>10.124444444444446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</v>
      </c>
      <c r="F50" s="117">
        <v>0.17</v>
      </c>
      <c r="G50" s="36">
        <f t="shared" si="7"/>
        <v>0.17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2">
        <f>E50-січень!E50</f>
        <v>0</v>
      </c>
      <c r="N50" s="32">
        <f>F50-січень!F50</f>
        <v>0</v>
      </c>
      <c r="O50" s="40">
        <f t="shared" si="9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700</v>
      </c>
      <c r="F51" s="117">
        <v>338</v>
      </c>
      <c r="G51" s="36">
        <f t="shared" si="7"/>
        <v>-362</v>
      </c>
      <c r="H51" s="32">
        <f t="shared" si="10"/>
        <v>48.285714285714285</v>
      </c>
      <c r="I51" s="42">
        <f t="shared" si="8"/>
        <v>-4462</v>
      </c>
      <c r="J51" s="42">
        <f t="shared" si="11"/>
        <v>7.041666666666667</v>
      </c>
      <c r="K51" s="42">
        <f>F51-263.2</f>
        <v>74.80000000000001</v>
      </c>
      <c r="L51" s="42">
        <f>F51/3812.69*100</f>
        <v>8.865131967193767</v>
      </c>
      <c r="M51" s="32">
        <f>E51-січень!E51</f>
        <v>350</v>
      </c>
      <c r="N51" s="32">
        <f>F51-січень!F51</f>
        <v>20.019999999999982</v>
      </c>
      <c r="O51" s="40">
        <f t="shared" si="9"/>
        <v>-329.98</v>
      </c>
      <c r="P51" s="42">
        <f t="shared" si="12"/>
        <v>5.719999999999994</v>
      </c>
      <c r="Q51" s="42">
        <f>N51-277.38</f>
        <v>-257.36</v>
      </c>
      <c r="R51" s="100">
        <f>N51/277.38</f>
        <v>0.07217535510851533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2">
        <f>E52-січень!E52</f>
        <v>0</v>
      </c>
      <c r="N52" s="32">
        <f>F52-січень!F52</f>
        <v>0</v>
      </c>
      <c r="O52" s="40">
        <f t="shared" si="9"/>
        <v>0</v>
      </c>
      <c r="P52" s="42" t="e">
        <f t="shared" si="12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79.6</v>
      </c>
      <c r="G53" s="36">
        <f t="shared" si="7"/>
        <v>79.6</v>
      </c>
      <c r="H53" s="32"/>
      <c r="I53" s="42">
        <f t="shared" si="8"/>
        <v>79.6</v>
      </c>
      <c r="J53" s="42"/>
      <c r="K53" s="112">
        <f>F53-82.7</f>
        <v>-3.1000000000000085</v>
      </c>
      <c r="L53" s="112">
        <f>F53/82.7*100</f>
        <v>96.2515114873035</v>
      </c>
      <c r="M53" s="111">
        <f>E53-січень!E53</f>
        <v>0</v>
      </c>
      <c r="N53" s="111">
        <f>F53-січень!F53</f>
        <v>9.399999999999991</v>
      </c>
      <c r="O53" s="112">
        <f t="shared" si="9"/>
        <v>9.399999999999991</v>
      </c>
      <c r="P53" s="42"/>
      <c r="Q53" s="42">
        <f>N53-64.93</f>
        <v>-55.530000000000015</v>
      </c>
      <c r="R53" s="100">
        <f>N53/64.93</f>
        <v>0.1447712921607884</v>
      </c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2">
        <f>E54-січень!E54</f>
        <v>0</v>
      </c>
      <c r="N54" s="32">
        <f>F54-січень!F54</f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0</v>
      </c>
      <c r="F55" s="117">
        <v>32.19</v>
      </c>
      <c r="G55" s="36">
        <f t="shared" si="7"/>
        <v>32.19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2">
        <f>E55-січень!E55</f>
        <v>0</v>
      </c>
      <c r="N55" s="32">
        <f>F55-січень!F55</f>
        <v>0</v>
      </c>
      <c r="O55" s="40">
        <f t="shared" si="9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2</v>
      </c>
      <c r="F56" s="117">
        <v>1</v>
      </c>
      <c r="G56" s="36">
        <f t="shared" si="7"/>
        <v>-1</v>
      </c>
      <c r="H56" s="32">
        <f t="shared" si="10"/>
        <v>50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2">
        <f>E56-січень!E56</f>
        <v>1</v>
      </c>
      <c r="N56" s="32">
        <f>F56-січень!F56</f>
        <v>0</v>
      </c>
      <c r="O56" s="40">
        <f t="shared" si="9"/>
        <v>-1</v>
      </c>
      <c r="P56" s="42">
        <f t="shared" si="12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1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2">
        <f>E57-січень!E57</f>
        <v>0</v>
      </c>
      <c r="N57" s="32">
        <f>F57-січень!F57</f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109957.62999999999</v>
      </c>
      <c r="F58" s="15">
        <f>F8+F33+F56+F57</f>
        <v>68398.74</v>
      </c>
      <c r="G58" s="37">
        <f>F58-E58</f>
        <v>-41558.889999999985</v>
      </c>
      <c r="H58" s="38">
        <f>F58/E58*100</f>
        <v>62.204632820842</v>
      </c>
      <c r="I58" s="28">
        <f>F58-D58</f>
        <v>-815501.86</v>
      </c>
      <c r="J58" s="28">
        <f>F58/D58*100</f>
        <v>7.738284146430042</v>
      </c>
      <c r="K58" s="28">
        <f>K8+K33+K56+K57</f>
        <v>29659.139999999996</v>
      </c>
      <c r="L58" s="28">
        <f>F58/38738.5*100</f>
        <v>176.56527743717493</v>
      </c>
      <c r="M58" s="15">
        <f>M8+M33+M56+M57</f>
        <v>55063.30999999999</v>
      </c>
      <c r="N58" s="15">
        <f>N8+N33+N56+N57</f>
        <v>5786.139999999996</v>
      </c>
      <c r="O58" s="41">
        <f>N58-M58</f>
        <v>-49277.17</v>
      </c>
      <c r="P58" s="28">
        <f>N58/M58*100</f>
        <v>10.508158699504255</v>
      </c>
      <c r="Q58" s="28">
        <f>N58-34768</f>
        <v>-28981.860000000004</v>
      </c>
      <c r="R58" s="128">
        <f>N58/34768</f>
        <v>0.16642142199723872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113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F64-січень!F64</f>
        <v>0</v>
      </c>
      <c r="O64" s="40">
        <f>N64-M64</f>
        <v>0</v>
      </c>
      <c r="P64" s="43"/>
      <c r="Q64" s="43">
        <f>N64-24.53</f>
        <v>-24.53</v>
      </c>
      <c r="R64" s="103">
        <f>N64/24.53</f>
        <v>0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0</v>
      </c>
      <c r="O65" s="44">
        <f>N65-M65</f>
        <v>0</v>
      </c>
      <c r="P65" s="44"/>
      <c r="Q65" s="44">
        <f>N65-92.85</f>
        <v>-92.85</v>
      </c>
      <c r="R65" s="104">
        <f>N65/92.85</f>
        <v>0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20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32">
        <f>E67-січень!E67</f>
        <v>0</v>
      </c>
      <c r="N67" s="32">
        <f>F67-січень!F67</f>
        <v>0</v>
      </c>
      <c r="O67" s="40">
        <f aca="true" t="shared" si="15" ref="O67:O80">N67-M67</f>
        <v>0</v>
      </c>
      <c r="P67" s="43"/>
      <c r="Q67" s="43">
        <f>N67-0.04</f>
        <v>-0.04</v>
      </c>
      <c r="R67" s="103">
        <f>N67/0.04</f>
        <v>0</v>
      </c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20">
        <v>34.56</v>
      </c>
      <c r="G68" s="36">
        <f t="shared" si="13"/>
        <v>34.56</v>
      </c>
      <c r="H68" s="32"/>
      <c r="I68" s="43">
        <f t="shared" si="14"/>
        <v>-7424.44</v>
      </c>
      <c r="J68" s="43"/>
      <c r="K68" s="43">
        <f>F68-259.69</f>
        <v>-225.13</v>
      </c>
      <c r="L68" s="43">
        <f>F68/259.69*100</f>
        <v>13.308175131888023</v>
      </c>
      <c r="M68" s="32">
        <f>E68-січень!E68</f>
        <v>0</v>
      </c>
      <c r="N68" s="32">
        <f>F68-січень!F68</f>
        <v>11.650000000000002</v>
      </c>
      <c r="O68" s="40">
        <f t="shared" si="15"/>
        <v>11.650000000000002</v>
      </c>
      <c r="P68" s="43"/>
      <c r="Q68" s="43">
        <f>N68-450.01</f>
        <v>-438.36</v>
      </c>
      <c r="R68" s="103">
        <f>N68/450.01</f>
        <v>0.02588831359303127</v>
      </c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20">
        <v>290.7</v>
      </c>
      <c r="G69" s="36">
        <f t="shared" si="13"/>
        <v>290.7</v>
      </c>
      <c r="H69" s="32"/>
      <c r="I69" s="43">
        <f t="shared" si="14"/>
        <v>-5709.3</v>
      </c>
      <c r="J69" s="43"/>
      <c r="K69" s="43">
        <f>F69-(-16.04)</f>
        <v>306.74</v>
      </c>
      <c r="L69" s="43">
        <f>F69/(-16.04)*100</f>
        <v>-1812.3441396508729</v>
      </c>
      <c r="M69" s="32">
        <f>E69-січень!E69</f>
        <v>0</v>
      </c>
      <c r="N69" s="32">
        <f>F69-січень!F69</f>
        <v>7.849999999999966</v>
      </c>
      <c r="O69" s="40">
        <f t="shared" si="15"/>
        <v>7.849999999999966</v>
      </c>
      <c r="P69" s="43"/>
      <c r="Q69" s="43">
        <f>N69-1.05</f>
        <v>6.799999999999966</v>
      </c>
      <c r="R69" s="103">
        <f>N69/1.05</f>
        <v>7.476190476190443</v>
      </c>
    </row>
    <row r="70" spans="2:18" ht="15">
      <c r="B70" s="23" t="s">
        <v>114</v>
      </c>
      <c r="C70" s="78">
        <v>24110700</v>
      </c>
      <c r="D70" s="25">
        <v>12</v>
      </c>
      <c r="E70" s="25">
        <v>0</v>
      </c>
      <c r="F70" s="120">
        <v>1</v>
      </c>
      <c r="G70" s="36">
        <f t="shared" si="13"/>
        <v>1</v>
      </c>
      <c r="H70" s="32"/>
      <c r="I70" s="43">
        <f t="shared" si="14"/>
        <v>-11</v>
      </c>
      <c r="J70" s="43"/>
      <c r="K70" s="43"/>
      <c r="L70" s="43"/>
      <c r="M70" s="32">
        <f>E70-січень!E70</f>
        <v>0</v>
      </c>
      <c r="N70" s="32">
        <f>F70-січень!F70</f>
        <v>0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326.32</v>
      </c>
      <c r="G71" s="45">
        <f t="shared" si="13"/>
        <v>326.32</v>
      </c>
      <c r="H71" s="52"/>
      <c r="I71" s="44">
        <f t="shared" si="14"/>
        <v>-17344.68</v>
      </c>
      <c r="J71" s="44"/>
      <c r="K71" s="44">
        <f>K67+K68+K69</f>
        <v>81.64000000000001</v>
      </c>
      <c r="L71" s="44">
        <f>F71/243.68*100</f>
        <v>133.91332895600786</v>
      </c>
      <c r="M71" s="45">
        <f>M67+M68+M69</f>
        <v>0</v>
      </c>
      <c r="N71" s="45">
        <f>N67+N68+N69</f>
        <v>19.499999999999968</v>
      </c>
      <c r="O71" s="44">
        <f t="shared" si="15"/>
        <v>19.499999999999968</v>
      </c>
      <c r="P71" s="44"/>
      <c r="Q71" s="44">
        <f>N71-7985.28</f>
        <v>-7965.78</v>
      </c>
      <c r="R71" s="129">
        <f>N71/7985.28</f>
        <v>0.002441993267612403</v>
      </c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>
        <f>F72/35.01*100</f>
        <v>0</v>
      </c>
      <c r="M72" s="32">
        <f>E72-січень!E72</f>
        <v>0</v>
      </c>
      <c r="N72" s="32">
        <f>F72-січень!F72</f>
        <v>0</v>
      </c>
      <c r="O72" s="40">
        <f t="shared" si="15"/>
        <v>0</v>
      </c>
      <c r="P72" s="43"/>
      <c r="Q72" s="43">
        <f>N72-0.16</f>
        <v>-0.16</v>
      </c>
      <c r="R72" s="103">
        <f>N72/0.16</f>
        <v>0</v>
      </c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32">
        <f>F73-січень!F73</f>
        <v>0</v>
      </c>
      <c r="O73" s="40">
        <f t="shared" si="15"/>
        <v>0</v>
      </c>
      <c r="P73" s="46"/>
      <c r="Q73" s="46">
        <f>N73-8.76</f>
        <v>-8.76</v>
      </c>
      <c r="R73" s="105">
        <f>N73/8.76</f>
        <v>0</v>
      </c>
    </row>
    <row r="74" spans="2:18" ht="15">
      <c r="B74" s="23" t="s">
        <v>47</v>
      </c>
      <c r="C74" s="78">
        <v>19010000</v>
      </c>
      <c r="D74" s="25">
        <v>9500</v>
      </c>
      <c r="E74" s="25"/>
      <c r="F74" s="120"/>
      <c r="G74" s="36"/>
      <c r="H74" s="32"/>
      <c r="I74" s="43"/>
      <c r="J74" s="46"/>
      <c r="K74" s="40"/>
      <c r="L74" s="43"/>
      <c r="M74" s="32"/>
      <c r="N74" s="32"/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32">
        <f>E75-січень!E74</f>
        <v>0</v>
      </c>
      <c r="N75" s="32">
        <f>F75-січень!F74</f>
        <v>0</v>
      </c>
      <c r="O75" s="40">
        <f t="shared" si="15"/>
        <v>0</v>
      </c>
      <c r="P75" s="43"/>
      <c r="Q75" s="43">
        <f>N75-(-0.21)</f>
        <v>0.21</v>
      </c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</v>
      </c>
      <c r="O76" s="45">
        <f>O72+O75+O73+O74</f>
        <v>0</v>
      </c>
      <c r="P76" s="44"/>
      <c r="Q76" s="44">
        <f>N76-26.38</f>
        <v>-26.38</v>
      </c>
      <c r="R76" s="102">
        <f>N76/26.38</f>
        <v>0</v>
      </c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32">
        <f>E77-січень!E76</f>
        <v>0</v>
      </c>
      <c r="N77" s="32">
        <f>F77-січень!F76</f>
        <v>0</v>
      </c>
      <c r="O77" s="40">
        <f t="shared" si="15"/>
        <v>0</v>
      </c>
      <c r="P77" s="43"/>
      <c r="Q77" s="43">
        <f>N77-0.45</f>
        <v>-0.45</v>
      </c>
      <c r="R77" s="103">
        <f>N77/0.45</f>
        <v>0</v>
      </c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335.27</v>
      </c>
      <c r="G79" s="37">
        <f>F79-E79</f>
        <v>335.27</v>
      </c>
      <c r="H79" s="38"/>
      <c r="I79" s="28">
        <f>F79-D79</f>
        <v>-26879.73</v>
      </c>
      <c r="J79" s="28"/>
      <c r="K79" s="28">
        <f>K65+K71+K76+K77</f>
        <v>76.68000000000002</v>
      </c>
      <c r="L79" s="28">
        <f>F79/248.84*100</f>
        <v>134.73316187108182</v>
      </c>
      <c r="M79" s="24">
        <f>M65+M77+M71+M76</f>
        <v>0</v>
      </c>
      <c r="N79" s="24">
        <f>N65+N77+N71+N76+N78</f>
        <v>19.499999999999968</v>
      </c>
      <c r="O79" s="28">
        <f t="shared" si="15"/>
        <v>19.499999999999968</v>
      </c>
      <c r="P79" s="28"/>
      <c r="Q79" s="28">
        <f>N79-8104.96</f>
        <v>-8085.46</v>
      </c>
      <c r="R79" s="101">
        <f>N79/8104.96</f>
        <v>0.0024059341440303183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109957.62999999999</v>
      </c>
      <c r="F80" s="24">
        <f>F58+F79</f>
        <v>68734.01000000001</v>
      </c>
      <c r="G80" s="37">
        <f>F80-E80</f>
        <v>-41223.61999999998</v>
      </c>
      <c r="H80" s="38">
        <f>F80/E80*100</f>
        <v>62.50954117508718</v>
      </c>
      <c r="I80" s="28">
        <f>F80-D80</f>
        <v>-842381.59</v>
      </c>
      <c r="J80" s="28">
        <f>F80/D80*100</f>
        <v>7.543939539614952</v>
      </c>
      <c r="K80" s="28">
        <f>K58+K79</f>
        <v>29735.819999999996</v>
      </c>
      <c r="L80" s="28">
        <f>F80/38987.36*100</f>
        <v>176.29818997746963</v>
      </c>
      <c r="M80" s="15">
        <f>M58+M79</f>
        <v>55063.30999999999</v>
      </c>
      <c r="N80" s="15">
        <f>N58+N79</f>
        <v>5805.639999999996</v>
      </c>
      <c r="O80" s="28">
        <f t="shared" si="15"/>
        <v>-49257.67</v>
      </c>
      <c r="P80" s="28">
        <f>N80/M80*100</f>
        <v>10.543572480477465</v>
      </c>
      <c r="Q80" s="28">
        <f>N80-42872.96</f>
        <v>-37067.32000000001</v>
      </c>
      <c r="R80" s="101">
        <f>N80/42872.96</f>
        <v>0.13541495618683655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18</v>
      </c>
      <c r="D82" s="4" t="s">
        <v>36</v>
      </c>
    </row>
    <row r="83" spans="2:17" ht="30.75">
      <c r="B83" s="57" t="s">
        <v>54</v>
      </c>
      <c r="C83" s="31">
        <f>IF(O58&lt;0,ABS(O58/C82),0)</f>
        <v>2737.6205555555553</v>
      </c>
      <c r="D83" s="4" t="s">
        <v>24</v>
      </c>
      <c r="G83" s="184"/>
      <c r="H83" s="184"/>
      <c r="I83" s="184"/>
      <c r="J83" s="184"/>
      <c r="K83" s="90"/>
      <c r="L83" s="90"/>
      <c r="P83" s="26"/>
      <c r="Q83" s="26"/>
    </row>
    <row r="84" spans="2:15" ht="34.5" customHeight="1">
      <c r="B84" s="58" t="s">
        <v>56</v>
      </c>
      <c r="C84" s="87">
        <v>42403</v>
      </c>
      <c r="D84" s="31">
        <v>2450.7</v>
      </c>
      <c r="G84" s="4" t="s">
        <v>59</v>
      </c>
      <c r="N84" s="177"/>
      <c r="O84" s="177"/>
    </row>
    <row r="85" spans="3:15" ht="15">
      <c r="C85" s="87">
        <v>42402</v>
      </c>
      <c r="D85" s="31">
        <v>1007.3</v>
      </c>
      <c r="F85" s="124" t="s">
        <v>59</v>
      </c>
      <c r="G85" s="171"/>
      <c r="H85" s="171"/>
      <c r="I85" s="131"/>
      <c r="J85" s="174"/>
      <c r="K85" s="174"/>
      <c r="L85" s="174"/>
      <c r="M85" s="174"/>
      <c r="N85" s="177"/>
      <c r="O85" s="177"/>
    </row>
    <row r="86" spans="3:15" ht="15.75" customHeight="1">
      <c r="C86" s="87">
        <v>42401</v>
      </c>
      <c r="D86" s="31">
        <v>2328.1</v>
      </c>
      <c r="F86" s="73"/>
      <c r="G86" s="171"/>
      <c r="H86" s="171"/>
      <c r="I86" s="131"/>
      <c r="J86" s="178"/>
      <c r="K86" s="178"/>
      <c r="L86" s="178"/>
      <c r="M86" s="178"/>
      <c r="N86" s="177"/>
      <c r="O86" s="177"/>
    </row>
    <row r="87" spans="3:13" ht="15.75" customHeight="1">
      <c r="C87" s="87"/>
      <c r="F87" s="73"/>
      <c r="G87" s="173"/>
      <c r="H87" s="173"/>
      <c r="I87" s="139"/>
      <c r="J87" s="174"/>
      <c r="K87" s="174"/>
      <c r="L87" s="174"/>
      <c r="M87" s="174"/>
    </row>
    <row r="88" spans="2:13" ht="18.75" customHeight="1">
      <c r="B88" s="175" t="s">
        <v>57</v>
      </c>
      <c r="C88" s="176"/>
      <c r="D88" s="148">
        <v>320.41846999999996</v>
      </c>
      <c r="E88" s="74"/>
      <c r="F88" s="140"/>
      <c r="G88" s="171"/>
      <c r="H88" s="171"/>
      <c r="I88" s="141"/>
      <c r="J88" s="174"/>
      <c r="K88" s="174"/>
      <c r="L88" s="174"/>
      <c r="M88" s="174"/>
    </row>
    <row r="89" spans="6:12" ht="9.75" customHeight="1">
      <c r="F89" s="73"/>
      <c r="G89" s="171"/>
      <c r="H89" s="171"/>
      <c r="I89" s="73"/>
      <c r="J89" s="74"/>
      <c r="K89" s="74"/>
      <c r="L89" s="74"/>
    </row>
    <row r="90" spans="2:12" ht="22.5" customHeight="1" hidden="1">
      <c r="B90" s="169" t="s">
        <v>60</v>
      </c>
      <c r="C90" s="170"/>
      <c r="D90" s="86">
        <v>0</v>
      </c>
      <c r="E90" s="56" t="s">
        <v>24</v>
      </c>
      <c r="F90" s="73"/>
      <c r="G90" s="171"/>
      <c r="H90" s="17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71"/>
      <c r="O91" s="171"/>
    </row>
    <row r="92" spans="4:15" ht="15">
      <c r="D92" s="83"/>
      <c r="I92" s="31"/>
      <c r="N92" s="172"/>
      <c r="O92" s="172"/>
    </row>
    <row r="93" spans="14:15" ht="15">
      <c r="N93" s="171"/>
      <c r="O93" s="17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92"/>
      <c r="R1" s="93"/>
    </row>
    <row r="2" spans="2:18" s="1" customFormat="1" ht="15.75" customHeight="1">
      <c r="B2" s="192"/>
      <c r="C2" s="192"/>
      <c r="D2" s="19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3"/>
      <c r="B3" s="195"/>
      <c r="C3" s="196" t="s">
        <v>0</v>
      </c>
      <c r="D3" s="197" t="s">
        <v>116</v>
      </c>
      <c r="E3" s="34"/>
      <c r="F3" s="198" t="s">
        <v>26</v>
      </c>
      <c r="G3" s="199"/>
      <c r="H3" s="199"/>
      <c r="I3" s="199"/>
      <c r="J3" s="200"/>
      <c r="K3" s="89"/>
      <c r="L3" s="89"/>
      <c r="M3" s="201" t="s">
        <v>108</v>
      </c>
      <c r="N3" s="202" t="s">
        <v>66</v>
      </c>
      <c r="O3" s="202"/>
      <c r="P3" s="202"/>
      <c r="Q3" s="202"/>
      <c r="R3" s="202"/>
    </row>
    <row r="4" spans="1:18" ht="22.5" customHeight="1">
      <c r="A4" s="193"/>
      <c r="B4" s="195"/>
      <c r="C4" s="196"/>
      <c r="D4" s="197"/>
      <c r="E4" s="203" t="s">
        <v>105</v>
      </c>
      <c r="F4" s="205" t="s">
        <v>34</v>
      </c>
      <c r="G4" s="179" t="s">
        <v>110</v>
      </c>
      <c r="H4" s="187" t="s">
        <v>111</v>
      </c>
      <c r="I4" s="179" t="s">
        <v>106</v>
      </c>
      <c r="J4" s="187" t="s">
        <v>107</v>
      </c>
      <c r="K4" s="91" t="s">
        <v>65</v>
      </c>
      <c r="L4" s="96" t="s">
        <v>64</v>
      </c>
      <c r="M4" s="187"/>
      <c r="N4" s="189" t="s">
        <v>104</v>
      </c>
      <c r="O4" s="179" t="s">
        <v>50</v>
      </c>
      <c r="P4" s="181" t="s">
        <v>49</v>
      </c>
      <c r="Q4" s="97" t="s">
        <v>65</v>
      </c>
      <c r="R4" s="98" t="s">
        <v>64</v>
      </c>
    </row>
    <row r="5" spans="1:18" ht="76.5" customHeight="1">
      <c r="A5" s="194"/>
      <c r="B5" s="195"/>
      <c r="C5" s="196"/>
      <c r="D5" s="197"/>
      <c r="E5" s="204"/>
      <c r="F5" s="206"/>
      <c r="G5" s="180"/>
      <c r="H5" s="188"/>
      <c r="I5" s="180"/>
      <c r="J5" s="188"/>
      <c r="K5" s="182" t="s">
        <v>109</v>
      </c>
      <c r="L5" s="183"/>
      <c r="M5" s="188"/>
      <c r="N5" s="190"/>
      <c r="O5" s="180"/>
      <c r="P5" s="181"/>
      <c r="Q5" s="182" t="s">
        <v>67</v>
      </c>
      <c r="R5" s="18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F9+F15+F18+F19+F20+F32+F17+F42</f>
        <v>60581.659999999996</v>
      </c>
      <c r="G8" s="15">
        <f aca="true" t="shared" si="0" ref="G8:G15">F8-E8</f>
        <v>8004.439999999995</v>
      </c>
      <c r="H8" s="38">
        <f>F8/E8*100</f>
        <v>115.22415981674192</v>
      </c>
      <c r="I8" s="28">
        <f>F8-D8</f>
        <v>-96419.28999999998</v>
      </c>
      <c r="J8" s="28">
        <f>F8/D8*100</f>
        <v>38.586811098913735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>
        <f>N9-26568.11</f>
        <v>3645.16</v>
      </c>
      <c r="R9" s="107">
        <f>N9/26568.11</f>
        <v>1.1372005761794874</v>
      </c>
    </row>
    <row r="10" spans="1:18" s="6" customFormat="1" ht="15">
      <c r="A10" s="8"/>
      <c r="B10" s="136" t="s">
        <v>94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F10-310040.1/75*60</f>
        <v>-221148.23999999996</v>
      </c>
      <c r="L10" s="112">
        <f>F10/(310040.1/75*60)*100</f>
        <v>10.838856006045672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F11-24192.03/75*60</f>
        <v>-16668.683999999997</v>
      </c>
      <c r="L11" s="112">
        <f>F11/(24192.03/75*60)*100</f>
        <v>13.87306067328786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F12-6123.95/75*60</f>
        <v>-4465.55</v>
      </c>
      <c r="L12" s="112">
        <f>F12/(6123.95*60)*100</f>
        <v>0.11800934581982764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F13-8694.58/75*60</f>
        <v>-6745.824</v>
      </c>
      <c r="L13" s="112">
        <f>F13/(8694.58/75*60)*100</f>
        <v>3.0168219741494124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95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13">
        <f>F29-22211.27</f>
        <v>-20055.3</v>
      </c>
      <c r="L29" s="113">
        <f>F29/22211.27*100</f>
        <v>9.706648921921168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13">
        <f>F30-57105.32</f>
        <v>-46368.979999999996</v>
      </c>
      <c r="L30" s="113">
        <f>F30/57105.32*100</f>
        <v>18.8009453409945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13">
        <f>F31-0</f>
        <v>3.19</v>
      </c>
      <c r="L31" s="113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6">
        <f>F34+F35+F36+F37+F38+F44+F45+F50+F51+F55+F41+F39+F54</f>
        <v>2029.94</v>
      </c>
      <c r="G33" s="37">
        <f>F33-E33</f>
        <v>-286.15999999999985</v>
      </c>
      <c r="H33" s="38">
        <f>F33/E33*100</f>
        <v>87.64474763611244</v>
      </c>
      <c r="I33" s="28">
        <f>F33-D33</f>
        <v>-4929.360000000001</v>
      </c>
      <c r="J33" s="28">
        <f>F33/D33*100</f>
        <v>29.16873823516733</v>
      </c>
      <c r="K33" s="15">
        <f>K34+K35+K36+K37+K38+K44+K45+K50+K51+K55+K41</f>
        <v>1007.56</v>
      </c>
      <c r="L33" s="15"/>
      <c r="M33" s="15">
        <f>M34+M35+M36+M37+M38+M44+M45+M50+M51+M55+M41+M39</f>
        <v>2316.1</v>
      </c>
      <c r="N33" s="15">
        <f>N34+N35+N36+N37+N38+N44+N45+N50+N51+N55+N41+N39</f>
        <v>2029.94</v>
      </c>
      <c r="O33" s="15">
        <f>N33/M33*100</f>
        <v>87.64474763611244</v>
      </c>
      <c r="P33" s="15">
        <f>N33/M33*100</f>
        <v>87.64474763611244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>
        <f>N36-4.23</f>
        <v>13.61</v>
      </c>
      <c r="R36" s="100">
        <f>N36/4.23</f>
        <v>4.217494089834515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>
        <f>N38-9.02</f>
        <v>-15.42</v>
      </c>
      <c r="R38" s="100">
        <f>N38/9.02</f>
        <v>-0.7095343680709535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112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>
        <f>N45-79.51</f>
        <v>328.69</v>
      </c>
      <c r="R45" s="100">
        <f>N45/79.51</f>
        <v>5.1339454156709845</v>
      </c>
    </row>
    <row r="46" spans="1:18" s="6" customFormat="1" ht="15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F46-857.86</f>
        <v>-831.87</v>
      </c>
      <c r="L46" s="110">
        <f>F46/857.86*100</f>
        <v>3.0296318746648634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99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F49-117.58</f>
        <v>264.59000000000003</v>
      </c>
      <c r="L49" s="110">
        <f>F49/117.58*100</f>
        <v>325.02976696717127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>
        <f>N50-0</f>
        <v>0.17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F51/3812.69*100</f>
        <v>8.340043381444598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>
        <f>N51-277.38</f>
        <v>40.60000000000002</v>
      </c>
      <c r="R51" s="100">
        <f>N51/277.38</f>
        <v>1.1463696012690172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>
        <f>N53-64.93</f>
        <v>5.269999999999996</v>
      </c>
      <c r="R53" s="100">
        <f>N53/64.93</f>
        <v>1.0811643308178036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62611.57</v>
      </c>
      <c r="O58" s="41">
        <f>N58-M58</f>
        <v>7717.25</v>
      </c>
      <c r="P58" s="28">
        <f>N58/M58*100</f>
        <v>114.0583761671517</v>
      </c>
      <c r="Q58" s="28">
        <f>N58-34768</f>
        <v>27843.57</v>
      </c>
      <c r="R58" s="128">
        <f>N58/34768</f>
        <v>1.8008389898757478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113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>
        <f>N65-92.85</f>
        <v>-84.36999999999999</v>
      </c>
      <c r="R65" s="104">
        <f>N65/92.85</f>
        <v>0.09133010231556274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>
        <f>N67-0.04</f>
        <v>0.019999999999999997</v>
      </c>
      <c r="R67" s="103">
        <f>N67/0.04</f>
        <v>1.5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>
        <f>N68-450.01</f>
        <v>-427.09999999999997</v>
      </c>
      <c r="R68" s="103">
        <f>N68/450.01</f>
        <v>0.05090997977822715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>
        <f>N69-1.05</f>
        <v>281.8</v>
      </c>
      <c r="R69" s="103">
        <f>N69/1.05</f>
        <v>269.3809523809524</v>
      </c>
    </row>
    <row r="70" spans="2:18" ht="15">
      <c r="B70" s="23" t="s">
        <v>114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</f>
        <v>62.14000000000004</v>
      </c>
      <c r="L71" s="44">
        <f>F71/243.68*100</f>
        <v>125.91103086014448</v>
      </c>
      <c r="M71" s="45">
        <f>M67+M68+M69</f>
        <v>0</v>
      </c>
      <c r="N71" s="45">
        <f>N67+N68+N69</f>
        <v>305.82000000000005</v>
      </c>
      <c r="O71" s="44">
        <f t="shared" si="21"/>
        <v>305.82000000000005</v>
      </c>
      <c r="P71" s="44"/>
      <c r="Q71" s="44">
        <f>N71-7985.28</f>
        <v>-7679.46</v>
      </c>
      <c r="R71" s="129">
        <f>N71/7985.28</f>
        <v>0.03829796826160135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>
        <f>N74-(-0.21)</f>
        <v>0.32999999999999996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>
        <f>N75-26.38</f>
        <v>-26.259999999999998</v>
      </c>
      <c r="R75" s="102">
        <f>N75/26.38</f>
        <v>0.004548900682335102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>
        <f>N76-0.45</f>
        <v>-0.10000000000000003</v>
      </c>
      <c r="R76" s="103">
        <f>N76/0.45</f>
        <v>0.7777777777777777</v>
      </c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57.18000000000004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314.77000000000004</v>
      </c>
      <c r="O78" s="28">
        <f t="shared" si="21"/>
        <v>314.77000000000004</v>
      </c>
      <c r="P78" s="28"/>
      <c r="Q78" s="28">
        <f>N78-8104.96</f>
        <v>-7790.19</v>
      </c>
      <c r="R78" s="101">
        <f>N78/8104.96</f>
        <v>0.03883671233417562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23930.239999999998</v>
      </c>
      <c r="L79" s="28">
        <f>F79/38987.36*100</f>
        <v>161.4071073291446</v>
      </c>
      <c r="M79" s="15">
        <f>M58+M78</f>
        <v>54894.32</v>
      </c>
      <c r="N79" s="15">
        <f>N58+N78</f>
        <v>62926.34</v>
      </c>
      <c r="O79" s="28">
        <f t="shared" si="21"/>
        <v>8032.019999999997</v>
      </c>
      <c r="P79" s="28">
        <f>N79/M79*100</f>
        <v>114.63178704099076</v>
      </c>
      <c r="Q79" s="28">
        <f>N79-42872.96</f>
        <v>20053.379999999997</v>
      </c>
      <c r="R79" s="101">
        <f>N79/42872.96</f>
        <v>1.467739572914956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84"/>
      <c r="H82" s="184"/>
      <c r="I82" s="184"/>
      <c r="J82" s="18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77"/>
      <c r="O83" s="177"/>
    </row>
    <row r="84" spans="3:15" ht="15">
      <c r="C84" s="87">
        <v>42397</v>
      </c>
      <c r="D84" s="31">
        <v>8685</v>
      </c>
      <c r="F84" s="166" t="s">
        <v>59</v>
      </c>
      <c r="G84" s="171"/>
      <c r="H84" s="171"/>
      <c r="I84" s="131"/>
      <c r="J84" s="174"/>
      <c r="K84" s="174"/>
      <c r="L84" s="174"/>
      <c r="M84" s="174"/>
      <c r="N84" s="177"/>
      <c r="O84" s="177"/>
    </row>
    <row r="85" spans="3:15" ht="15.75" customHeight="1">
      <c r="C85" s="87">
        <v>42396</v>
      </c>
      <c r="D85" s="31">
        <v>4820.3</v>
      </c>
      <c r="F85" s="167"/>
      <c r="G85" s="171"/>
      <c r="H85" s="171"/>
      <c r="I85" s="131"/>
      <c r="J85" s="178"/>
      <c r="K85" s="178"/>
      <c r="L85" s="178"/>
      <c r="M85" s="178"/>
      <c r="N85" s="177"/>
      <c r="O85" s="177"/>
    </row>
    <row r="86" spans="3:13" ht="15.75" customHeight="1">
      <c r="C86" s="87"/>
      <c r="F86" s="167"/>
      <c r="G86" s="173"/>
      <c r="H86" s="173"/>
      <c r="I86" s="139"/>
      <c r="J86" s="174"/>
      <c r="K86" s="174"/>
      <c r="L86" s="174"/>
      <c r="M86" s="174"/>
    </row>
    <row r="87" spans="2:13" ht="18.75" customHeight="1">
      <c r="B87" s="175" t="s">
        <v>57</v>
      </c>
      <c r="C87" s="176"/>
      <c r="D87" s="148">
        <v>300.92</v>
      </c>
      <c r="E87" s="74"/>
      <c r="F87" s="168"/>
      <c r="G87" s="171"/>
      <c r="H87" s="171"/>
      <c r="I87" s="141"/>
      <c r="J87" s="174"/>
      <c r="K87" s="174"/>
      <c r="L87" s="174"/>
      <c r="M87" s="174"/>
    </row>
    <row r="88" spans="6:12" ht="9.75" customHeight="1">
      <c r="F88" s="167"/>
      <c r="G88" s="171"/>
      <c r="H88" s="171"/>
      <c r="I88" s="73"/>
      <c r="J88" s="74"/>
      <c r="K88" s="74"/>
      <c r="L88" s="74"/>
    </row>
    <row r="89" spans="2:12" ht="22.5" customHeight="1" hidden="1">
      <c r="B89" s="169" t="s">
        <v>60</v>
      </c>
      <c r="C89" s="170"/>
      <c r="D89" s="86">
        <v>0</v>
      </c>
      <c r="E89" s="56" t="s">
        <v>24</v>
      </c>
      <c r="F89" s="167"/>
      <c r="G89" s="171"/>
      <c r="H89" s="17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71"/>
      <c r="O90" s="171"/>
    </row>
    <row r="91" spans="4:15" ht="15">
      <c r="D91" s="83"/>
      <c r="I91" s="31"/>
      <c r="N91" s="172"/>
      <c r="O91" s="172"/>
    </row>
    <row r="92" spans="14:15" ht="15">
      <c r="N92" s="171"/>
      <c r="O92" s="17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2016-02-04T14:39:13Z</cp:lastPrinted>
  <dcterms:created xsi:type="dcterms:W3CDTF">2003-07-28T11:27:56Z</dcterms:created>
  <dcterms:modified xsi:type="dcterms:W3CDTF">2016-02-04T14:47:47Z</dcterms:modified>
  <cp:category/>
  <cp:version/>
  <cp:contentType/>
  <cp:contentStatus/>
</cp:coreProperties>
</file>